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entropol-my.sharepoint.com/personal/matousek_centropol_cz/Documents/Dokumenty/Corporate &amp; PR/2024/TZ, leden 2024/"/>
    </mc:Choice>
  </mc:AlternateContent>
  <xr:revisionPtr revIDLastSave="150" documentId="8_{994CACD3-656D-489C-ADA0-E9F0F31AACBA}" xr6:coauthVersionLast="47" xr6:coauthVersionMax="47" xr10:uidLastSave="{9419D9A2-5916-4075-8A00-BA3485A0EAAC}"/>
  <bookViews>
    <workbookView xWindow="-108" yWindow="-108" windowWidth="23256" windowHeight="12576" tabRatio="856" xr2:uid="{52C6ADFC-D565-4B8A-A1B1-EA141435E58B}"/>
  </bookViews>
  <sheets>
    <sheet name="Fixně na 1,5 roku od Centropolu" sheetId="3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2" i="34" l="1"/>
  <c r="H22" i="34"/>
  <c r="D22" i="34"/>
  <c r="E22" i="34"/>
  <c r="H21" i="34"/>
  <c r="E14" i="34"/>
  <c r="H14" i="34"/>
  <c r="K14" i="34"/>
  <c r="J14" i="34"/>
  <c r="D14" i="34"/>
  <c r="E21" i="34"/>
  <c r="J21" i="34"/>
  <c r="K21" i="34"/>
  <c r="J19" i="34"/>
  <c r="I19" i="34"/>
  <c r="G19" i="34"/>
  <c r="F19" i="34"/>
  <c r="D19" i="34"/>
  <c r="C19" i="34"/>
  <c r="I18" i="34"/>
  <c r="F18" i="34"/>
  <c r="C18" i="34"/>
  <c r="N19" i="34"/>
  <c r="M19" i="34"/>
  <c r="L19" i="34"/>
  <c r="K19" i="34"/>
  <c r="H19" i="34"/>
  <c r="E19" i="34"/>
  <c r="N18" i="34"/>
  <c r="M18" i="34"/>
  <c r="L18" i="34"/>
  <c r="K18" i="34"/>
  <c r="J18" i="34"/>
  <c r="H18" i="34"/>
  <c r="G18" i="34"/>
  <c r="E18" i="34"/>
  <c r="D18" i="34"/>
  <c r="L11" i="34"/>
  <c r="L13" i="34" s="1"/>
  <c r="K11" i="34"/>
  <c r="K13" i="34" s="1"/>
  <c r="J11" i="34"/>
  <c r="J13" i="34" s="1"/>
  <c r="I11" i="34"/>
  <c r="I13" i="34" s="1"/>
  <c r="H11" i="34"/>
  <c r="H13" i="34" s="1"/>
  <c r="G11" i="34"/>
  <c r="G13" i="34" s="1"/>
  <c r="F11" i="34"/>
  <c r="F13" i="34" s="1"/>
  <c r="E11" i="34"/>
  <c r="E13" i="34" s="1"/>
  <c r="D11" i="34"/>
  <c r="D13" i="34" s="1"/>
  <c r="C11" i="34"/>
  <c r="C13" i="34" s="1"/>
  <c r="N7" i="34"/>
  <c r="M7" i="34"/>
  <c r="M11" i="34" s="1"/>
  <c r="M13" i="34" s="1"/>
  <c r="H17" i="34" l="1"/>
  <c r="H20" i="34" s="1"/>
  <c r="H12" i="34"/>
  <c r="F17" i="34"/>
  <c r="F20" i="34" s="1"/>
  <c r="F12" i="34"/>
  <c r="J17" i="34"/>
  <c r="J20" i="34" s="1"/>
  <c r="J12" i="34"/>
  <c r="E17" i="34"/>
  <c r="E20" i="34" s="1"/>
  <c r="E12" i="34"/>
  <c r="C17" i="34"/>
  <c r="C20" i="34" s="1"/>
  <c r="C12" i="34"/>
  <c r="M17" i="34"/>
  <c r="M20" i="34" s="1"/>
  <c r="M12" i="34"/>
  <c r="M14" i="34"/>
  <c r="G17" i="34"/>
  <c r="G20" i="34" s="1"/>
  <c r="G12" i="34"/>
  <c r="G14" i="34"/>
  <c r="I17" i="34"/>
  <c r="I20" i="34" s="1"/>
  <c r="I12" i="34"/>
  <c r="K17" i="34"/>
  <c r="K20" i="34" s="1"/>
  <c r="K12" i="34"/>
  <c r="D17" i="34"/>
  <c r="D20" i="34" s="1"/>
  <c r="D12" i="34"/>
  <c r="L17" i="34"/>
  <c r="L20" i="34" s="1"/>
  <c r="L12" i="34"/>
  <c r="N11" i="34"/>
  <c r="N13" i="34" s="1"/>
  <c r="M22" i="34" l="1"/>
  <c r="M21" i="34"/>
  <c r="N17" i="34"/>
  <c r="N20" i="34" s="1"/>
  <c r="N12" i="34"/>
  <c r="N14" i="34"/>
  <c r="J22" i="34"/>
  <c r="D21" i="34"/>
  <c r="G22" i="34"/>
  <c r="G21" i="34"/>
  <c r="N22" i="34" l="1"/>
  <c r="N21" i="3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Matoušek Jiří</author>
  </authors>
  <commentList>
    <comment ref="M7" authorId="0" shapeId="0" xr:uid="{65365F4B-C405-4FBA-B480-8E0F472F85F0}">
      <text>
        <r>
          <rPr>
            <sz val="9"/>
            <color indexed="81"/>
            <rFont val="Tahoma"/>
            <family val="2"/>
            <charset val="238"/>
          </rPr>
          <t>ceny distribuce pro rok 2023: spotřeba ve vysokém tarifu v poměru 25% (273,95 Kč / MWh) a spotřeba v nízkém tarifu v poměru 75% (179,98 Kč/ MWh)</t>
        </r>
      </text>
    </comment>
    <comment ref="N7" authorId="0" shapeId="0" xr:uid="{7FE54407-5E9E-43D2-8450-5AA40733287F}">
      <text>
        <r>
          <rPr>
            <sz val="9"/>
            <color indexed="81"/>
            <rFont val="Tahoma"/>
            <family val="2"/>
            <charset val="238"/>
          </rPr>
          <t>růst ceny o 143,6 %</t>
        </r>
      </text>
    </comment>
    <comment ref="N8" authorId="0" shapeId="0" xr:uid="{9A1B339D-9BA1-48EB-83D6-EF1602C275B6}">
      <text>
        <r>
          <rPr>
            <sz val="9"/>
            <color indexed="81"/>
            <rFont val="Tahoma"/>
            <family val="2"/>
            <charset val="238"/>
          </rPr>
          <t>růst o 127 %</t>
        </r>
      </text>
    </comment>
    <comment ref="B19" authorId="0" shapeId="0" xr:uid="{60805B01-E169-424D-B749-CAF45F1783F9}">
      <text>
        <r>
          <rPr>
            <sz val="9"/>
            <color indexed="81"/>
            <rFont val="Tahoma"/>
            <family val="2"/>
            <charset val="238"/>
          </rPr>
          <t>měsíční plat za příkon (jistič), jedná se o fixní platbu za každý kalendářní měsíc</t>
        </r>
      </text>
    </comment>
  </commentList>
</comments>
</file>

<file path=xl/sharedStrings.xml><?xml version="1.0" encoding="utf-8"?>
<sst xmlns="http://schemas.openxmlformats.org/spreadsheetml/2006/main" count="43" uniqueCount="30">
  <si>
    <t>daň z elektřiny</t>
  </si>
  <si>
    <t>celkem bez DPH</t>
  </si>
  <si>
    <t>cena s DPH 21%</t>
  </si>
  <si>
    <t>cena silové elektřiny</t>
  </si>
  <si>
    <t>ceny v roce 2021 (před zvyšováním)</t>
  </si>
  <si>
    <t>DPH 21%</t>
  </si>
  <si>
    <t>spotřeba čtyřčlenné rodiny (2 dospělí a dvě děti) - elektřina</t>
  </si>
  <si>
    <t>x</t>
  </si>
  <si>
    <t>roční náklady v Kč (spotřeba)</t>
  </si>
  <si>
    <t>Ceny pro rok 2024 (odhad cen na trhu k 9/2023)</t>
  </si>
  <si>
    <t>distribuce - regulované ceny</t>
  </si>
  <si>
    <t>roční spotřeba v MWh</t>
  </si>
  <si>
    <t>platba za jistič - regulované ceny</t>
  </si>
  <si>
    <t>fixní měsíční platba dodavateli</t>
  </si>
  <si>
    <t>meziroční růst cen v Kč</t>
  </si>
  <si>
    <t>POZE (obnovitelné zdroje) - reg. ceny</t>
  </si>
  <si>
    <t>celková platba (modelová faktura za elektřinu)</t>
  </si>
  <si>
    <r>
      <t>Firma - restaurace</t>
    </r>
    <r>
      <rPr>
        <sz val="11"/>
        <color theme="1"/>
        <rFont val="Calibri"/>
        <family val="2"/>
        <charset val="238"/>
        <scheme val="minor"/>
      </rPr>
      <t xml:space="preserve"> s roční spotřebou 100 MWh, distribuční sazba C45d, jistič </t>
    </r>
    <r>
      <rPr>
        <b/>
        <sz val="11"/>
        <color theme="1"/>
        <rFont val="Calibri"/>
        <family val="2"/>
        <charset val="238"/>
        <scheme val="minor"/>
      </rPr>
      <t>3x100 A</t>
    </r>
  </si>
  <si>
    <t>Firma</t>
  </si>
  <si>
    <t>Ceny pro rok 2024 (běžné ceny silové elektřiny + nové regulované ceny)</t>
  </si>
  <si>
    <t>Platba s cenovým stropem v roce 2023</t>
  </si>
  <si>
    <t>Ceny v roce 2023 (u firmy spotové ceny)</t>
  </si>
  <si>
    <r>
      <rPr>
        <b/>
        <sz val="11"/>
        <color theme="1"/>
        <rFont val="Calibri"/>
        <family val="2"/>
        <charset val="238"/>
        <scheme val="minor"/>
      </rPr>
      <t>sazba d25d</t>
    </r>
    <r>
      <rPr>
        <sz val="11"/>
        <color theme="1"/>
        <rFont val="Calibri"/>
        <family val="2"/>
        <charset val="238"/>
        <scheme val="minor"/>
      </rPr>
      <t xml:space="preserve"> (rodinný domek - elektřinou svítí, vaří, používá pro běžné spotřebiče a elektřinou ohřívá vodu),  roční spotřeba 5,5 MWh;  </t>
    </r>
    <r>
      <rPr>
        <b/>
        <sz val="11"/>
        <color theme="1"/>
        <rFont val="Calibri"/>
        <family val="2"/>
        <charset val="238"/>
        <scheme val="minor"/>
      </rPr>
      <t>jistič 3x25 A</t>
    </r>
  </si>
  <si>
    <r>
      <rPr>
        <b/>
        <sz val="11"/>
        <color theme="1"/>
        <rFont val="Calibri"/>
        <family val="2"/>
        <charset val="238"/>
        <scheme val="minor"/>
      </rPr>
      <t>sazba d02d</t>
    </r>
    <r>
      <rPr>
        <sz val="11"/>
        <color theme="1"/>
        <rFont val="Calibri"/>
        <family val="2"/>
        <charset val="238"/>
        <scheme val="minor"/>
      </rPr>
      <t xml:space="preserve"> (bytová jednotka - elektřinou svítí, vaří, používá pro běžné spotřebiče), roční spotřeba 3,5 MWh;  </t>
    </r>
    <r>
      <rPr>
        <b/>
        <sz val="11"/>
        <color theme="1"/>
        <rFont val="Calibri"/>
        <family val="2"/>
        <charset val="238"/>
        <scheme val="minor"/>
      </rPr>
      <t>jistič 3x25 A</t>
    </r>
  </si>
  <si>
    <r>
      <rPr>
        <b/>
        <sz val="11"/>
        <color theme="1"/>
        <rFont val="Calibri"/>
        <family val="2"/>
        <charset val="238"/>
        <scheme val="minor"/>
      </rPr>
      <t>sazba d57d</t>
    </r>
    <r>
      <rPr>
        <sz val="11"/>
        <color theme="1"/>
        <rFont val="Calibri"/>
        <family val="2"/>
        <charset val="238"/>
        <scheme val="minor"/>
      </rPr>
      <t xml:space="preserve"> (rodinný domek - elektřinou svítí, vaří, používá pro běžné spotřebiče, ohřívá vodu a elektřinou vytápí), roční spotřeba 12,5 MWh;  </t>
    </r>
    <r>
      <rPr>
        <b/>
        <sz val="11"/>
        <color theme="1"/>
        <rFont val="Calibri"/>
        <family val="2"/>
        <charset val="238"/>
        <scheme val="minor"/>
      </rPr>
      <t>jistič 3x32 A</t>
    </r>
  </si>
  <si>
    <t>Cena s fixací na 1,5  roku s průměrnou cenou 3.303 Kč / MWh</t>
  </si>
  <si>
    <t>porovnání ceny za MWh, bez fixních plateb za jistič a ostaních fixů, území ČEZ Distribuce, a.s.</t>
  </si>
  <si>
    <t>systémové služby (ČEPS) - regul. ceny</t>
  </si>
  <si>
    <t>změna v %</t>
  </si>
  <si>
    <t>Cenový růst jedné MWh v obdobích / produktech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</si>
</sst>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C0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42">
    <xf numFmtId="0" fontId="0" fillId="0" borderId="0" xfId="0"/>
    <xf numFmtId="0" fontId="0" fillId="2" borderId="0" xfId="0" applyFill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3" fontId="0" fillId="2" borderId="0" xfId="0" applyNumberFormat="1" applyFill="1" applyAlignment="1">
      <alignment vertical="center" wrapText="1"/>
    </xf>
    <xf numFmtId="3" fontId="0" fillId="3" borderId="1" xfId="0" applyNumberFormat="1" applyFill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10" fontId="0" fillId="2" borderId="0" xfId="1" applyNumberFormat="1" applyFont="1" applyFill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3" fontId="0" fillId="3" borderId="1" xfId="1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9" fontId="0" fillId="2" borderId="0" xfId="1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5" fontId="0" fillId="3" borderId="1" xfId="1" applyNumberFormat="1" applyFont="1" applyFill="1" applyBorder="1" applyAlignment="1">
      <alignment horizontal="center" vertical="center" wrapText="1"/>
    </xf>
    <xf numFmtId="164" fontId="0" fillId="2" borderId="0" xfId="0" applyNumberFormat="1" applyFill="1" applyAlignment="1">
      <alignment vertical="center" wrapText="1"/>
    </xf>
    <xf numFmtId="3" fontId="1" fillId="3" borderId="1" xfId="1" applyNumberFormat="1" applyFont="1" applyFill="1" applyBorder="1" applyAlignment="1">
      <alignment horizontal="center" vertical="center" wrapText="1"/>
    </xf>
    <xf numFmtId="3" fontId="1" fillId="2" borderId="1" xfId="1" applyNumberFormat="1" applyFont="1" applyFill="1" applyBorder="1" applyAlignment="1">
      <alignment horizontal="center" vertical="center" wrapText="1"/>
    </xf>
    <xf numFmtId="3" fontId="0" fillId="6" borderId="1" xfId="0" applyNumberFormat="1" applyFon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 wrapText="1"/>
    </xf>
    <xf numFmtId="165" fontId="8" fillId="3" borderId="1" xfId="1" applyNumberFormat="1" applyFont="1" applyFill="1" applyBorder="1" applyAlignment="1">
      <alignment horizontal="center" vertical="center" wrapText="1"/>
    </xf>
    <xf numFmtId="9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9" fontId="0" fillId="3" borderId="1" xfId="1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165" fontId="4" fillId="7" borderId="1" xfId="1" applyNumberFormat="1" applyFont="1" applyFill="1" applyBorder="1" applyAlignment="1">
      <alignment horizontal="center" vertical="center" wrapText="1"/>
    </xf>
    <xf numFmtId="165" fontId="9" fillId="7" borderId="1" xfId="1" applyNumberFormat="1" applyFont="1" applyFill="1" applyBorder="1" applyAlignment="1">
      <alignment horizontal="center" vertical="center" wrapText="1"/>
    </xf>
    <xf numFmtId="3" fontId="9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164" fontId="0" fillId="2" borderId="1" xfId="1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center" wrapText="1"/>
    </xf>
  </cellXfs>
  <cellStyles count="4">
    <cellStyle name="Normální" xfId="0" builtinId="0"/>
    <cellStyle name="Normální 12" xfId="2" xr:uid="{34A5AF62-EB6B-4947-9D2D-860AF1250801}"/>
    <cellStyle name="Normální 15" xfId="3" xr:uid="{7C881AC6-2FB3-41D9-B3CA-5C67224AC349}"/>
    <cellStyle name="Procenta" xfId="1" builtinId="5"/>
  </cellStyles>
  <dxfs count="0"/>
  <tableStyles count="0" defaultTableStyle="TableStyleMedium2" defaultPivotStyle="PivotStyleLight16"/>
  <colors>
    <mruColors>
      <color rgb="FFCCCC00"/>
      <color rgb="FF0099FF"/>
      <color rgb="FF66CCFF"/>
      <color rgb="FF996633"/>
      <color rgb="FF6600CC"/>
      <color rgb="FFFF00FF"/>
      <color rgb="FFFF6600"/>
      <color rgb="FF808000"/>
      <color rgb="FFFFCCFF"/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A3A4C-3F31-4BC9-BE86-FED56DA37CB8}">
  <dimension ref="B1:Q23"/>
  <sheetViews>
    <sheetView tabSelected="1" zoomScale="90" zoomScaleNormal="90" workbookViewId="0">
      <selection activeCell="P5" sqref="P5"/>
    </sheetView>
  </sheetViews>
  <sheetFormatPr defaultRowHeight="14.4" x14ac:dyDescent="0.3"/>
  <cols>
    <col min="1" max="1" width="2.88671875" style="1" customWidth="1"/>
    <col min="2" max="2" width="36.6640625" style="1" customWidth="1"/>
    <col min="3" max="8" width="15.77734375" style="1" customWidth="1"/>
    <col min="9" max="11" width="15.5546875" style="1" customWidth="1"/>
    <col min="12" max="14" width="15.5546875" style="1" hidden="1" customWidth="1"/>
    <col min="15" max="15" width="13.88671875" style="1" customWidth="1"/>
    <col min="16" max="17" width="11.44140625" style="1" bestFit="1" customWidth="1"/>
    <col min="18" max="16384" width="8.88671875" style="1"/>
  </cols>
  <sheetData>
    <row r="1" spans="2:17" ht="7.8" customHeight="1" x14ac:dyDescent="0.3"/>
    <row r="2" spans="2:17" ht="18" customHeight="1" x14ac:dyDescent="0.3">
      <c r="B2" s="37" t="s">
        <v>6</v>
      </c>
      <c r="C2" s="37"/>
      <c r="D2" s="37"/>
      <c r="E2" s="37"/>
      <c r="F2" s="37"/>
      <c r="G2" s="37"/>
      <c r="H2" s="37"/>
      <c r="I2" s="37"/>
      <c r="J2" s="37"/>
      <c r="K2" s="37"/>
      <c r="L2" s="37" t="s">
        <v>18</v>
      </c>
      <c r="M2" s="37"/>
      <c r="N2" s="37"/>
    </row>
    <row r="3" spans="2:17" ht="8.4" customHeight="1" x14ac:dyDescent="0.3">
      <c r="J3" s="4"/>
      <c r="K3" s="4"/>
    </row>
    <row r="4" spans="2:17" ht="46.8" customHeight="1" x14ac:dyDescent="0.3">
      <c r="B4" s="38" t="s">
        <v>26</v>
      </c>
      <c r="C4" s="39" t="s">
        <v>23</v>
      </c>
      <c r="D4" s="39"/>
      <c r="E4" s="39"/>
      <c r="F4" s="39" t="s">
        <v>22</v>
      </c>
      <c r="G4" s="39"/>
      <c r="H4" s="39"/>
      <c r="I4" s="39" t="s">
        <v>24</v>
      </c>
      <c r="J4" s="39"/>
      <c r="K4" s="39"/>
      <c r="L4" s="40" t="s">
        <v>17</v>
      </c>
      <c r="M4" s="39"/>
      <c r="N4" s="39"/>
    </row>
    <row r="5" spans="2:17" ht="58.8" customHeight="1" x14ac:dyDescent="0.3">
      <c r="B5" s="38"/>
      <c r="C5" s="9" t="s">
        <v>20</v>
      </c>
      <c r="D5" s="9" t="s">
        <v>19</v>
      </c>
      <c r="E5" s="9" t="s">
        <v>25</v>
      </c>
      <c r="F5" s="9" t="s">
        <v>20</v>
      </c>
      <c r="G5" s="9" t="s">
        <v>19</v>
      </c>
      <c r="H5" s="9" t="s">
        <v>25</v>
      </c>
      <c r="I5" s="9" t="s">
        <v>20</v>
      </c>
      <c r="J5" s="9" t="s">
        <v>19</v>
      </c>
      <c r="K5" s="9" t="s">
        <v>25</v>
      </c>
      <c r="L5" s="25" t="s">
        <v>4</v>
      </c>
      <c r="M5" s="26" t="s">
        <v>21</v>
      </c>
      <c r="N5" s="26" t="s">
        <v>9</v>
      </c>
    </row>
    <row r="6" spans="2:17" ht="18" customHeight="1" x14ac:dyDescent="0.3">
      <c r="B6" s="2" t="s">
        <v>3</v>
      </c>
      <c r="C6" s="6">
        <v>5000</v>
      </c>
      <c r="D6" s="6">
        <v>4050</v>
      </c>
      <c r="E6" s="32">
        <v>3303</v>
      </c>
      <c r="F6" s="6">
        <v>5000</v>
      </c>
      <c r="G6" s="6">
        <v>4050</v>
      </c>
      <c r="H6" s="33">
        <v>3303</v>
      </c>
      <c r="I6" s="6">
        <v>5000</v>
      </c>
      <c r="J6" s="6">
        <v>4050</v>
      </c>
      <c r="K6" s="33">
        <v>3303</v>
      </c>
      <c r="L6" s="6">
        <v>1600</v>
      </c>
      <c r="M6" s="6">
        <v>3500</v>
      </c>
      <c r="N6" s="18">
        <v>3500</v>
      </c>
    </row>
    <row r="7" spans="2:17" ht="18" customHeight="1" x14ac:dyDescent="0.3">
      <c r="B7" s="2" t="s">
        <v>10</v>
      </c>
      <c r="C7" s="11">
        <v>1611</v>
      </c>
      <c r="D7" s="28">
        <v>2015.66</v>
      </c>
      <c r="E7" s="28">
        <v>2015.66</v>
      </c>
      <c r="F7" s="11">
        <v>941.6</v>
      </c>
      <c r="G7" s="11">
        <v>1262.2884000000001</v>
      </c>
      <c r="H7" s="11">
        <v>1262.2884000000001</v>
      </c>
      <c r="I7" s="11">
        <v>202.3</v>
      </c>
      <c r="J7" s="11">
        <v>473.88009999999997</v>
      </c>
      <c r="K7" s="11">
        <v>473.88009999999997</v>
      </c>
      <c r="L7" s="11">
        <v>183.3</v>
      </c>
      <c r="M7" s="11">
        <f>(25%*273.95)+(75%*179.98)</f>
        <v>203.47249999999997</v>
      </c>
      <c r="N7" s="13">
        <f>(25%*668.12)+(75%*438.09)</f>
        <v>495.59749999999997</v>
      </c>
      <c r="O7" s="24"/>
      <c r="P7" s="8"/>
      <c r="Q7" s="24"/>
    </row>
    <row r="8" spans="2:17" ht="18" customHeight="1" x14ac:dyDescent="0.3">
      <c r="B8" s="2" t="s">
        <v>27</v>
      </c>
      <c r="C8" s="11">
        <v>113.53</v>
      </c>
      <c r="D8" s="28">
        <v>212.82</v>
      </c>
      <c r="E8" s="28">
        <v>212.82</v>
      </c>
      <c r="F8" s="11">
        <v>113.53</v>
      </c>
      <c r="G8" s="28">
        <v>212.82</v>
      </c>
      <c r="H8" s="28">
        <v>212.82</v>
      </c>
      <c r="I8" s="11">
        <v>113.53</v>
      </c>
      <c r="J8" s="28">
        <v>212.82</v>
      </c>
      <c r="K8" s="28">
        <v>212.82</v>
      </c>
      <c r="L8" s="11">
        <v>113.53</v>
      </c>
      <c r="M8" s="11">
        <v>113.53</v>
      </c>
      <c r="N8" s="21">
        <v>257.67</v>
      </c>
      <c r="O8" s="15"/>
      <c r="P8" s="23"/>
      <c r="Q8" s="24"/>
    </row>
    <row r="9" spans="2:17" ht="18" customHeight="1" x14ac:dyDescent="0.3">
      <c r="B9" s="2" t="s">
        <v>0</v>
      </c>
      <c r="C9" s="11">
        <v>28.3</v>
      </c>
      <c r="D9" s="11">
        <v>28.3</v>
      </c>
      <c r="E9" s="11">
        <v>28.3</v>
      </c>
      <c r="F9" s="11">
        <v>28.3</v>
      </c>
      <c r="G9" s="11">
        <v>28.3</v>
      </c>
      <c r="H9" s="11">
        <v>28.3</v>
      </c>
      <c r="I9" s="11">
        <v>28.3</v>
      </c>
      <c r="J9" s="11">
        <v>28.3</v>
      </c>
      <c r="K9" s="11">
        <v>28.3</v>
      </c>
      <c r="L9" s="11">
        <v>28.3</v>
      </c>
      <c r="M9" s="11">
        <v>28.3</v>
      </c>
      <c r="N9" s="19">
        <v>28.3</v>
      </c>
      <c r="O9" s="15"/>
      <c r="P9" s="23"/>
      <c r="Q9" s="24"/>
    </row>
    <row r="10" spans="2:17" ht="18" customHeight="1" x14ac:dyDescent="0.3">
      <c r="B10" s="2" t="s">
        <v>15</v>
      </c>
      <c r="C10" s="11">
        <v>0</v>
      </c>
      <c r="D10" s="11">
        <v>495</v>
      </c>
      <c r="E10" s="11">
        <v>495</v>
      </c>
      <c r="F10" s="11">
        <v>0</v>
      </c>
      <c r="G10" s="11">
        <v>495</v>
      </c>
      <c r="H10" s="11">
        <v>495</v>
      </c>
      <c r="I10" s="11">
        <v>0</v>
      </c>
      <c r="J10" s="11">
        <v>495</v>
      </c>
      <c r="K10" s="11">
        <v>495</v>
      </c>
      <c r="L10" s="11">
        <v>495</v>
      </c>
      <c r="M10" s="11">
        <v>0</v>
      </c>
      <c r="N10" s="19">
        <v>495</v>
      </c>
      <c r="O10" s="34"/>
      <c r="P10" s="35"/>
    </row>
    <row r="11" spans="2:17" ht="18" customHeight="1" x14ac:dyDescent="0.3">
      <c r="B11" s="2" t="s">
        <v>1</v>
      </c>
      <c r="C11" s="11">
        <f t="shared" ref="C11:M11" si="0">SUM(C6:C10)</f>
        <v>6752.83</v>
      </c>
      <c r="D11" s="11">
        <f t="shared" si="0"/>
        <v>6801.78</v>
      </c>
      <c r="E11" s="11">
        <f t="shared" si="0"/>
        <v>6054.78</v>
      </c>
      <c r="F11" s="11">
        <f>SUM(F6:F10)</f>
        <v>6083.43</v>
      </c>
      <c r="G11" s="11">
        <f t="shared" ref="G11:H11" si="1">SUM(G6:G10)</f>
        <v>6048.4084000000003</v>
      </c>
      <c r="H11" s="11">
        <f t="shared" si="1"/>
        <v>5301.4084000000003</v>
      </c>
      <c r="I11" s="11">
        <f t="shared" si="0"/>
        <v>5344.13</v>
      </c>
      <c r="J11" s="11">
        <f t="shared" si="0"/>
        <v>5260.0001000000002</v>
      </c>
      <c r="K11" s="11">
        <f t="shared" si="0"/>
        <v>4513.0001000000002</v>
      </c>
      <c r="L11" s="11">
        <f t="shared" si="0"/>
        <v>2420.13</v>
      </c>
      <c r="M11" s="11">
        <f t="shared" si="0"/>
        <v>3845.3025000000002</v>
      </c>
      <c r="N11" s="19">
        <f>SUM(N6:N10)</f>
        <v>4776.5675000000001</v>
      </c>
      <c r="Q11" s="24"/>
    </row>
    <row r="12" spans="2:17" ht="18" customHeight="1" x14ac:dyDescent="0.3">
      <c r="B12" s="2" t="s">
        <v>5</v>
      </c>
      <c r="C12" s="11">
        <f t="shared" ref="C12:N12" si="2">C13-C11</f>
        <v>1418.0942999999997</v>
      </c>
      <c r="D12" s="11">
        <f t="shared" si="2"/>
        <v>1428.3738000000003</v>
      </c>
      <c r="E12" s="11">
        <f t="shared" si="2"/>
        <v>1271.5037999999995</v>
      </c>
      <c r="F12" s="11">
        <f t="shared" si="2"/>
        <v>1277.5203000000001</v>
      </c>
      <c r="G12" s="11">
        <f t="shared" si="2"/>
        <v>1270.1657639999994</v>
      </c>
      <c r="H12" s="11">
        <f t="shared" si="2"/>
        <v>1113.2957639999995</v>
      </c>
      <c r="I12" s="11">
        <f t="shared" si="2"/>
        <v>1122.2672999999995</v>
      </c>
      <c r="J12" s="11">
        <f t="shared" si="2"/>
        <v>1104.6000210000002</v>
      </c>
      <c r="K12" s="11">
        <f>K13-K11</f>
        <v>947.73002100000031</v>
      </c>
      <c r="L12" s="11">
        <f>L13-L11</f>
        <v>508.22730000000001</v>
      </c>
      <c r="M12" s="11">
        <f t="shared" si="2"/>
        <v>807.51352499999985</v>
      </c>
      <c r="N12" s="19">
        <f t="shared" si="2"/>
        <v>1003.0791749999999</v>
      </c>
    </row>
    <row r="13" spans="2:17" ht="18" customHeight="1" x14ac:dyDescent="0.3">
      <c r="B13" s="2" t="s">
        <v>2</v>
      </c>
      <c r="C13" s="11">
        <f t="shared" ref="C13:N13" si="3">C11*1.21</f>
        <v>8170.9242999999997</v>
      </c>
      <c r="D13" s="11">
        <f t="shared" si="3"/>
        <v>8230.1538</v>
      </c>
      <c r="E13" s="29">
        <f t="shared" si="3"/>
        <v>7326.2837999999992</v>
      </c>
      <c r="F13" s="11">
        <f t="shared" si="3"/>
        <v>7360.9503000000004</v>
      </c>
      <c r="G13" s="11">
        <f t="shared" si="3"/>
        <v>7318.5741639999997</v>
      </c>
      <c r="H13" s="29">
        <f t="shared" si="3"/>
        <v>6414.7041639999998</v>
      </c>
      <c r="I13" s="11">
        <f t="shared" si="3"/>
        <v>6466.3972999999996</v>
      </c>
      <c r="J13" s="11">
        <f t="shared" si="3"/>
        <v>6364.6001210000004</v>
      </c>
      <c r="K13" s="29">
        <f>K11*1.21</f>
        <v>5460.7301210000005</v>
      </c>
      <c r="L13" s="11">
        <f>L11*1.21</f>
        <v>2928.3573000000001</v>
      </c>
      <c r="M13" s="11">
        <f t="shared" si="3"/>
        <v>4652.8160250000001</v>
      </c>
      <c r="N13" s="20">
        <f t="shared" si="3"/>
        <v>5779.646675</v>
      </c>
    </row>
    <row r="14" spans="2:17" ht="18" customHeight="1" x14ac:dyDescent="0.3">
      <c r="B14" s="41" t="s">
        <v>29</v>
      </c>
      <c r="C14" s="27" t="s">
        <v>7</v>
      </c>
      <c r="D14" s="14">
        <f>(D13/C13)-1</f>
        <v>7.2488127200003305E-3</v>
      </c>
      <c r="E14" s="30">
        <f>(E13/D13)-1</f>
        <v>-0.10982419307887059</v>
      </c>
      <c r="F14" s="14" t="s">
        <v>7</v>
      </c>
      <c r="G14" s="14">
        <f>(G13/F13)-1</f>
        <v>-5.7568838632153785E-3</v>
      </c>
      <c r="H14" s="30">
        <f>(H13/G13)-1</f>
        <v>-0.12350356500397686</v>
      </c>
      <c r="I14" s="27" t="s">
        <v>7</v>
      </c>
      <c r="J14" s="14">
        <f>(J13/I13)-1</f>
        <v>-1.574248755176233E-2</v>
      </c>
      <c r="K14" s="30">
        <f>(K13/J13)-1</f>
        <v>-0.14201520642556642</v>
      </c>
      <c r="L14" s="27" t="s">
        <v>7</v>
      </c>
      <c r="M14" s="14">
        <f>(M13/L13)-1</f>
        <v>0.58888262200790864</v>
      </c>
      <c r="N14" s="14">
        <f>(N13/M13)-1</f>
        <v>0.2421825070979462</v>
      </c>
    </row>
    <row r="15" spans="2:17" ht="10.8" customHeight="1" x14ac:dyDescent="0.3">
      <c r="B15" s="7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P15" s="8"/>
    </row>
    <row r="16" spans="2:17" ht="18" customHeight="1" x14ac:dyDescent="0.3">
      <c r="B16" s="2" t="s">
        <v>11</v>
      </c>
      <c r="C16" s="36">
        <v>3.5</v>
      </c>
      <c r="D16" s="36"/>
      <c r="E16" s="36"/>
      <c r="F16" s="36">
        <v>5.5</v>
      </c>
      <c r="G16" s="36"/>
      <c r="H16" s="36"/>
      <c r="I16" s="36">
        <v>12.5</v>
      </c>
      <c r="J16" s="36"/>
      <c r="K16" s="36"/>
      <c r="L16" s="36">
        <v>100</v>
      </c>
      <c r="M16" s="36"/>
      <c r="N16" s="36"/>
    </row>
    <row r="17" spans="2:15" ht="18" customHeight="1" x14ac:dyDescent="0.3">
      <c r="B17" s="3" t="s">
        <v>8</v>
      </c>
      <c r="C17" s="5">
        <f>C16*C13</f>
        <v>28598.235049999999</v>
      </c>
      <c r="D17" s="10">
        <f>D13*C16</f>
        <v>28805.5383</v>
      </c>
      <c r="E17" s="16">
        <f>E13*C16</f>
        <v>25641.993299999998</v>
      </c>
      <c r="F17" s="5">
        <f>F16*F13</f>
        <v>40485.226650000004</v>
      </c>
      <c r="G17" s="10">
        <f>G13*F16</f>
        <v>40252.157901999999</v>
      </c>
      <c r="H17" s="16">
        <f>H13*F16</f>
        <v>35280.872901999996</v>
      </c>
      <c r="I17" s="5">
        <f>I16*I13</f>
        <v>80829.966249999998</v>
      </c>
      <c r="J17" s="10">
        <f>I16*J13</f>
        <v>79557.501512500006</v>
      </c>
      <c r="K17" s="16">
        <f>I16*K13</f>
        <v>68259.126512500006</v>
      </c>
      <c r="L17" s="5">
        <f>L16*L13</f>
        <v>292835.73000000004</v>
      </c>
      <c r="M17" s="10">
        <f>L16*M13</f>
        <v>465281.60250000004</v>
      </c>
      <c r="N17" s="16">
        <f>L16*N13</f>
        <v>577964.66749999998</v>
      </c>
      <c r="O17" s="4"/>
    </row>
    <row r="18" spans="2:15" ht="18" customHeight="1" x14ac:dyDescent="0.3">
      <c r="B18" s="2" t="s">
        <v>13</v>
      </c>
      <c r="C18" s="17">
        <f t="shared" ref="C18:K18" si="4">(95*12)*1.21</f>
        <v>1379.3999999999999</v>
      </c>
      <c r="D18" s="17">
        <f t="shared" si="4"/>
        <v>1379.3999999999999</v>
      </c>
      <c r="E18" s="17">
        <f t="shared" si="4"/>
        <v>1379.3999999999999</v>
      </c>
      <c r="F18" s="17">
        <f t="shared" si="4"/>
        <v>1379.3999999999999</v>
      </c>
      <c r="G18" s="17">
        <f t="shared" si="4"/>
        <v>1379.3999999999999</v>
      </c>
      <c r="H18" s="17">
        <f t="shared" si="4"/>
        <v>1379.3999999999999</v>
      </c>
      <c r="I18" s="17">
        <f t="shared" si="4"/>
        <v>1379.3999999999999</v>
      </c>
      <c r="J18" s="17">
        <f t="shared" si="4"/>
        <v>1379.3999999999999</v>
      </c>
      <c r="K18" s="17">
        <f t="shared" si="4"/>
        <v>1379.3999999999999</v>
      </c>
      <c r="L18" s="17">
        <f>(80*12)*1.21</f>
        <v>1161.5999999999999</v>
      </c>
      <c r="M18" s="17">
        <f>(95*12)*1.21</f>
        <v>1379.3999999999999</v>
      </c>
      <c r="N18" s="17">
        <f>(95*12)*1.21</f>
        <v>1379.3999999999999</v>
      </c>
    </row>
    <row r="19" spans="2:15" ht="18" customHeight="1" x14ac:dyDescent="0.3">
      <c r="B19" s="2" t="s">
        <v>12</v>
      </c>
      <c r="C19" s="17">
        <f>(164*12)*1.21</f>
        <v>2381.2799999999997</v>
      </c>
      <c r="D19" s="17">
        <f>(205*12)*1.21</f>
        <v>2976.6</v>
      </c>
      <c r="E19" s="17">
        <f>(205*12)*1.21</f>
        <v>2976.6</v>
      </c>
      <c r="F19" s="17">
        <f>(162*12)*1.21</f>
        <v>2352.2399999999998</v>
      </c>
      <c r="G19" s="17">
        <f>(197*12)*1.21</f>
        <v>2860.44</v>
      </c>
      <c r="H19" s="17">
        <f>(197*12)*1.21</f>
        <v>2860.44</v>
      </c>
      <c r="I19" s="17">
        <f>(436*12)*1.21</f>
        <v>6330.72</v>
      </c>
      <c r="J19" s="17">
        <f>(500*12)*1.21</f>
        <v>7260</v>
      </c>
      <c r="K19" s="17">
        <f>(500*12)*1.21</f>
        <v>7260</v>
      </c>
      <c r="L19" s="17">
        <f>(4161*12)*1.21</f>
        <v>60417.72</v>
      </c>
      <c r="M19" s="17">
        <f>(4161*12)*1.21</f>
        <v>60417.72</v>
      </c>
      <c r="N19" s="17">
        <f>(4647*12)*1.21</f>
        <v>67474.44</v>
      </c>
    </row>
    <row r="20" spans="2:15" ht="26.4" customHeight="1" x14ac:dyDescent="0.3">
      <c r="B20" s="3" t="s">
        <v>16</v>
      </c>
      <c r="C20" s="10">
        <f t="shared" ref="C20:N20" si="5">C17+C18+C19</f>
        <v>32358.91505</v>
      </c>
      <c r="D20" s="10">
        <f t="shared" si="5"/>
        <v>33161.5383</v>
      </c>
      <c r="E20" s="10">
        <f t="shared" si="5"/>
        <v>29997.993299999998</v>
      </c>
      <c r="F20" s="10">
        <f t="shared" si="5"/>
        <v>44216.866650000004</v>
      </c>
      <c r="G20" s="10">
        <f t="shared" si="5"/>
        <v>44491.997902000003</v>
      </c>
      <c r="H20" s="10">
        <f t="shared" si="5"/>
        <v>39520.712901999999</v>
      </c>
      <c r="I20" s="10">
        <f t="shared" si="5"/>
        <v>88540.086249999993</v>
      </c>
      <c r="J20" s="10">
        <f t="shared" si="5"/>
        <v>88196.901512500001</v>
      </c>
      <c r="K20" s="10">
        <f t="shared" si="5"/>
        <v>76898.526512500001</v>
      </c>
      <c r="L20" s="10">
        <f t="shared" si="5"/>
        <v>354415.05000000005</v>
      </c>
      <c r="M20" s="10">
        <f t="shared" si="5"/>
        <v>527078.72250000003</v>
      </c>
      <c r="N20" s="10">
        <f t="shared" si="5"/>
        <v>646818.50750000007</v>
      </c>
    </row>
    <row r="21" spans="2:15" ht="19.2" customHeight="1" x14ac:dyDescent="0.3">
      <c r="B21" s="3" t="s">
        <v>14</v>
      </c>
      <c r="C21" s="26" t="s">
        <v>7</v>
      </c>
      <c r="D21" s="10">
        <f>D20-C20</f>
        <v>802.62325000000055</v>
      </c>
      <c r="E21" s="10">
        <f>E20-D20</f>
        <v>-3163.5450000000019</v>
      </c>
      <c r="F21" s="26" t="s">
        <v>7</v>
      </c>
      <c r="G21" s="10">
        <f>G20-F20</f>
        <v>275.13125199999922</v>
      </c>
      <c r="H21" s="10">
        <f>H20-G20</f>
        <v>-4971.2850000000035</v>
      </c>
      <c r="I21" s="26" t="s">
        <v>7</v>
      </c>
      <c r="J21" s="10">
        <f>J20-I20</f>
        <v>-343.18473749999248</v>
      </c>
      <c r="K21" s="10">
        <f>K20-J20</f>
        <v>-11298.375</v>
      </c>
      <c r="L21" s="26" t="s">
        <v>7</v>
      </c>
      <c r="M21" s="10">
        <f>M20-L20</f>
        <v>172663.67249999999</v>
      </c>
      <c r="N21" s="10">
        <f>N20-M20</f>
        <v>119739.78500000003</v>
      </c>
    </row>
    <row r="22" spans="2:15" ht="18" customHeight="1" x14ac:dyDescent="0.3">
      <c r="B22" s="3" t="s">
        <v>28</v>
      </c>
      <c r="C22" s="3"/>
      <c r="D22" s="14">
        <f>(D20/C20)-1</f>
        <v>2.4803775057347099E-2</v>
      </c>
      <c r="E22" s="31">
        <f>(E20/D20)-1</f>
        <v>-9.5398017166169913E-2</v>
      </c>
      <c r="F22" s="3"/>
      <c r="G22" s="14">
        <f>(G20/F20)-1</f>
        <v>6.2223145339042052E-3</v>
      </c>
      <c r="H22" s="31">
        <f>(H20/G20)-1</f>
        <v>-0.1117343620070731</v>
      </c>
      <c r="I22" s="3"/>
      <c r="J22" s="14">
        <f>(J20/I20)-1</f>
        <v>-3.8760379849979154E-3</v>
      </c>
      <c r="K22" s="31">
        <f>(K20/J20)-1</f>
        <v>-0.12810399012031848</v>
      </c>
      <c r="L22" s="3"/>
      <c r="M22" s="14">
        <f>(M20/L20)-1</f>
        <v>0.48717929021355033</v>
      </c>
      <c r="N22" s="22">
        <f>(N20/M20)-1</f>
        <v>0.2271762829507884</v>
      </c>
    </row>
    <row r="23" spans="2:15" x14ac:dyDescent="0.3">
      <c r="E23" s="4"/>
      <c r="H23" s="4"/>
      <c r="K23" s="4"/>
    </row>
  </sheetData>
  <mergeCells count="12">
    <mergeCell ref="B2:K2"/>
    <mergeCell ref="L2:N2"/>
    <mergeCell ref="B4:B5"/>
    <mergeCell ref="C4:E4"/>
    <mergeCell ref="F4:H4"/>
    <mergeCell ref="I4:K4"/>
    <mergeCell ref="L4:N4"/>
    <mergeCell ref="O10:P10"/>
    <mergeCell ref="C16:E16"/>
    <mergeCell ref="F16:H16"/>
    <mergeCell ref="I16:K16"/>
    <mergeCell ref="L16:N16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510E415773F04EA17BA453B3951BFB" ma:contentTypeVersion="13" ma:contentTypeDescription="Create a new document." ma:contentTypeScope="" ma:versionID="14c1fd74a6179079189bef16ed7d7741">
  <xsd:schema xmlns:xsd="http://www.w3.org/2001/XMLSchema" xmlns:xs="http://www.w3.org/2001/XMLSchema" xmlns:p="http://schemas.microsoft.com/office/2006/metadata/properties" xmlns:ns3="e9f64c9b-5a38-4375-90a5-c28a99f7522f" xmlns:ns4="e864f7d5-40f2-4487-9942-490ab44f1867" targetNamespace="http://schemas.microsoft.com/office/2006/metadata/properties" ma:root="true" ma:fieldsID="6d4a1948b9332e52140addaf12549583" ns3:_="" ns4:_="">
    <xsd:import namespace="e9f64c9b-5a38-4375-90a5-c28a99f7522f"/>
    <xsd:import namespace="e864f7d5-40f2-4487-9942-490ab44f186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f64c9b-5a38-4375-90a5-c28a99f752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64f7d5-40f2-4487-9942-490ab44f186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7EC77D-E2C6-4D62-A90D-90B481BD56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055AB7-0774-497D-BD5C-E2B8ADB2691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D8DC4B5-C54E-429D-9737-E0501DB1F2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f64c9b-5a38-4375-90a5-c28a99f7522f"/>
    <ds:schemaRef ds:uri="e864f7d5-40f2-4487-9942-490ab44f18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Fixně na 1,5 roku od Centropolu</vt:lpstr>
    </vt:vector>
  </TitlesOfParts>
  <Company>CENTROPOL ENERGY,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Matoušek</dc:creator>
  <cp:lastModifiedBy>Matoušek Jiří</cp:lastModifiedBy>
  <dcterms:created xsi:type="dcterms:W3CDTF">2022-05-06T08:27:56Z</dcterms:created>
  <dcterms:modified xsi:type="dcterms:W3CDTF">2024-01-23T12:00:43Z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0x0101007B510E415773F04EA17BA453B3951BFB</vt:lpwstr>
  </property>
  <property fmtid="{D5CDD505-2E9C-101B-9397-08002B2CF9AE}" pid="3" name="MSIP_Label_f02381fe-cde1-414b-9212-5455c6be0e6b_Enabled">
    <vt:lpwstr>true</vt:lpwstr>
  </property>
  <property fmtid="{D5CDD505-2E9C-101B-9397-08002B2CF9AE}" pid="4" name="MSIP_Label_f02381fe-cde1-414b-9212-5455c6be0e6b_SetDate">
    <vt:lpwstr>2023-06-12T17:18:02Z</vt:lpwstr>
  </property>
  <property fmtid="{D5CDD505-2E9C-101B-9397-08002B2CF9AE}" pid="5" name="MSIP_Label_f02381fe-cde1-414b-9212-5455c6be0e6b_Method">
    <vt:lpwstr>Privileged</vt:lpwstr>
  </property>
  <property fmtid="{D5CDD505-2E9C-101B-9397-08002B2CF9AE}" pid="6" name="MSIP_Label_f02381fe-cde1-414b-9212-5455c6be0e6b_Name">
    <vt:lpwstr>Veřejná data</vt:lpwstr>
  </property>
  <property fmtid="{D5CDD505-2E9C-101B-9397-08002B2CF9AE}" pid="7" name="MSIP_Label_f02381fe-cde1-414b-9212-5455c6be0e6b_SiteId">
    <vt:lpwstr>53b8d820-e2f7-4682-858f-9e2aeec6ffd9</vt:lpwstr>
  </property>
  <property fmtid="{D5CDD505-2E9C-101B-9397-08002B2CF9AE}" pid="8" name="MSIP_Label_f02381fe-cde1-414b-9212-5455c6be0e6b_ActionId">
    <vt:lpwstr>ad1eb8f5-1888-4ff5-9a85-573c2ed85cf2</vt:lpwstr>
  </property>
  <property fmtid="{D5CDD505-2E9C-101B-9397-08002B2CF9AE}" pid="9" name="MSIP_Label_f02381fe-cde1-414b-9212-5455c6be0e6b_ContentBits">
    <vt:lpwstr>0</vt:lpwstr>
  </property>
</Properties>
</file>